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Backup Juan\Clases in company\CALAB\Material de otras clases\"/>
    </mc:Choice>
  </mc:AlternateContent>
  <xr:revisionPtr revIDLastSave="0" documentId="13_ncr:1_{854F3833-B505-46AC-9007-B51F8D04C5DB}" xr6:coauthVersionLast="47" xr6:coauthVersionMax="47" xr10:uidLastSave="{00000000-0000-0000-0000-000000000000}"/>
  <bookViews>
    <workbookView xWindow="28680" yWindow="-120" windowWidth="29040" windowHeight="15840" xr2:uid="{CB9DAB0C-A56A-42FD-934B-371526FBB12B}"/>
  </bookViews>
  <sheets>
    <sheet name="A. Marginal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4" l="1"/>
  <c r="F33" i="4"/>
  <c r="N49" i="4"/>
  <c r="N45" i="4"/>
  <c r="N41" i="4"/>
  <c r="E25" i="4"/>
  <c r="G25" i="4" s="1"/>
  <c r="D25" i="4"/>
  <c r="E24" i="4"/>
  <c r="G24" i="4" s="1"/>
  <c r="J24" i="4" s="1"/>
  <c r="D24" i="4"/>
  <c r="E23" i="4"/>
  <c r="F23" i="4" s="1"/>
  <c r="I23" i="4" s="1"/>
  <c r="D23" i="4"/>
  <c r="E22" i="4"/>
  <c r="F22" i="4" s="1"/>
  <c r="I22" i="4" s="1"/>
  <c r="D22" i="4"/>
  <c r="E21" i="4"/>
  <c r="G21" i="4" s="1"/>
  <c r="D21" i="4"/>
  <c r="E20" i="4"/>
  <c r="G20" i="4" s="1"/>
  <c r="D20" i="4"/>
  <c r="W14" i="4"/>
  <c r="J14" i="4"/>
  <c r="M14" i="4" s="1"/>
  <c r="P14" i="4" s="1"/>
  <c r="I14" i="4"/>
  <c r="L14" i="4" s="1"/>
  <c r="H14" i="4"/>
  <c r="W13" i="4"/>
  <c r="J13" i="4"/>
  <c r="M13" i="4" s="1"/>
  <c r="P13" i="4" s="1"/>
  <c r="F13" i="4"/>
  <c r="H13" i="4" s="1"/>
  <c r="W12" i="4"/>
  <c r="L12" i="4"/>
  <c r="O12" i="4" s="1"/>
  <c r="K12" i="4"/>
  <c r="J12" i="4"/>
  <c r="M12" i="4" s="1"/>
  <c r="P12" i="4" s="1"/>
  <c r="I12" i="4"/>
  <c r="H12" i="4"/>
  <c r="W11" i="4"/>
  <c r="J11" i="4"/>
  <c r="M11" i="4" s="1"/>
  <c r="P11" i="4" s="1"/>
  <c r="I11" i="4"/>
  <c r="L11" i="4" s="1"/>
  <c r="H11" i="4"/>
  <c r="W10" i="4"/>
  <c r="J10" i="4"/>
  <c r="M10" i="4" s="1"/>
  <c r="P10" i="4" s="1"/>
  <c r="I10" i="4"/>
  <c r="K10" i="4" s="1"/>
  <c r="H10" i="4"/>
  <c r="W9" i="4"/>
  <c r="J9" i="4"/>
  <c r="J16" i="4" s="1"/>
  <c r="F9" i="4"/>
  <c r="I9" i="4" s="1"/>
  <c r="D5" i="4"/>
  <c r="J25" i="4" l="1"/>
  <c r="K14" i="4"/>
  <c r="I13" i="4"/>
  <c r="L13" i="4" s="1"/>
  <c r="O13" i="4" s="1"/>
  <c r="R13" i="4" s="1"/>
  <c r="G22" i="4"/>
  <c r="J22" i="4" s="1"/>
  <c r="J21" i="4"/>
  <c r="J20" i="4"/>
  <c r="M23" i="4"/>
  <c r="S12" i="4"/>
  <c r="M9" i="4"/>
  <c r="M16" i="4" s="1"/>
  <c r="G32" i="4" s="1"/>
  <c r="G34" i="4" s="1"/>
  <c r="F25" i="4"/>
  <c r="I25" i="4" s="1"/>
  <c r="G23" i="4"/>
  <c r="J23" i="4" s="1"/>
  <c r="L10" i="4"/>
  <c r="K13" i="4"/>
  <c r="R12" i="4"/>
  <c r="Q12" i="4"/>
  <c r="L23" i="4"/>
  <c r="N11" i="4"/>
  <c r="H22" i="4" s="1"/>
  <c r="O11" i="4"/>
  <c r="M24" i="4"/>
  <c r="S13" i="4"/>
  <c r="M25" i="4"/>
  <c r="S14" i="4"/>
  <c r="S10" i="4"/>
  <c r="M21" i="4"/>
  <c r="O14" i="4"/>
  <c r="N14" i="4"/>
  <c r="H25" i="4" s="1"/>
  <c r="M22" i="4"/>
  <c r="S11" i="4"/>
  <c r="I16" i="4"/>
  <c r="L9" i="4"/>
  <c r="K9" i="4"/>
  <c r="F20" i="4"/>
  <c r="I20" i="4" s="1"/>
  <c r="F21" i="4"/>
  <c r="I21" i="4" s="1"/>
  <c r="K11" i="4"/>
  <c r="F24" i="4"/>
  <c r="I24" i="4" s="1"/>
  <c r="H9" i="4"/>
  <c r="H33" i="4" s="1"/>
  <c r="N12" i="4"/>
  <c r="H23" i="4" s="1"/>
  <c r="P9" i="4" l="1"/>
  <c r="S9" i="4" s="1"/>
  <c r="N13" i="4"/>
  <c r="H24" i="4" s="1"/>
  <c r="Q13" i="4"/>
  <c r="L24" i="4"/>
  <c r="N10" i="4"/>
  <c r="H21" i="4" s="1"/>
  <c r="O10" i="4"/>
  <c r="K16" i="4"/>
  <c r="R14" i="4"/>
  <c r="L25" i="4"/>
  <c r="Q14" i="4"/>
  <c r="N24" i="4"/>
  <c r="K24" i="4"/>
  <c r="K23" i="4"/>
  <c r="T12" i="4"/>
  <c r="N23" i="4"/>
  <c r="L22" i="4"/>
  <c r="R11" i="4"/>
  <c r="Q11" i="4"/>
  <c r="L16" i="4"/>
  <c r="F32" i="4" s="1"/>
  <c r="F34" i="4" s="1"/>
  <c r="N9" i="4"/>
  <c r="O9" i="4"/>
  <c r="M20" i="4" l="1"/>
  <c r="P16" i="4"/>
  <c r="S16" i="4" s="1"/>
  <c r="T13" i="4"/>
  <c r="R10" i="4"/>
  <c r="Q10" i="4"/>
  <c r="L21" i="4"/>
  <c r="K25" i="4"/>
  <c r="N25" i="4"/>
  <c r="T14" i="4"/>
  <c r="L20" i="4"/>
  <c r="Q9" i="4"/>
  <c r="O16" i="4"/>
  <c r="R9" i="4"/>
  <c r="H20" i="4"/>
  <c r="N16" i="4"/>
  <c r="H32" i="4" s="1"/>
  <c r="H34" i="4" s="1"/>
  <c r="H36" i="4" s="1"/>
  <c r="M32" i="4" s="1"/>
  <c r="N22" i="4"/>
  <c r="T11" i="4"/>
  <c r="K22" i="4"/>
  <c r="M27" i="4" l="1"/>
  <c r="P27" i="4"/>
  <c r="K21" i="4"/>
  <c r="N21" i="4"/>
  <c r="T10" i="4"/>
  <c r="K20" i="4"/>
  <c r="Q16" i="4"/>
  <c r="T9" i="4"/>
  <c r="N20" i="4"/>
  <c r="O27" i="4"/>
  <c r="R16" i="4"/>
  <c r="L27" i="4"/>
  <c r="Q27" i="4" l="1"/>
  <c r="N42" i="4" s="1"/>
  <c r="P41" i="4" s="1"/>
  <c r="T16" i="4"/>
  <c r="N50" i="4" s="1"/>
  <c r="P49" i="4" s="1"/>
  <c r="N27" i="4"/>
  <c r="N46" i="4" s="1"/>
  <c r="P45" i="4" s="1"/>
</calcChain>
</file>

<file path=xl/sharedStrings.xml><?xml version="1.0" encoding="utf-8"?>
<sst xmlns="http://schemas.openxmlformats.org/spreadsheetml/2006/main" count="111" uniqueCount="52">
  <si>
    <t>Total</t>
  </si>
  <si>
    <t>Glucemia</t>
  </si>
  <si>
    <t>Uremia</t>
  </si>
  <si>
    <t>Uricemia</t>
  </si>
  <si>
    <t>Colesterol</t>
  </si>
  <si>
    <t>Acto bioquímico</t>
  </si>
  <si>
    <t>Orina completa</t>
  </si>
  <si>
    <t>UB</t>
  </si>
  <si>
    <t>Valor UB</t>
  </si>
  <si>
    <t>Pacientes</t>
  </si>
  <si>
    <t>Cant. Det.</t>
  </si>
  <si>
    <t>Cant. UB</t>
  </si>
  <si>
    <t>O. Soc. 1</t>
  </si>
  <si>
    <t>O. Soc. 2</t>
  </si>
  <si>
    <t>Cant.   UB</t>
  </si>
  <si>
    <t>Fact.  ($)</t>
  </si>
  <si>
    <t>Marg. Cont. ($)</t>
  </si>
  <si>
    <t>C. Var. Unit. ($)</t>
  </si>
  <si>
    <t>Facturación ($)</t>
  </si>
  <si>
    <t>Marg. Cont. Total ($)</t>
  </si>
  <si>
    <t>Cant.   Det.</t>
  </si>
  <si>
    <r>
      <t xml:space="preserve">Marg. Cont. </t>
    </r>
    <r>
      <rPr>
        <b/>
        <sz val="11"/>
        <color rgb="FFC00000"/>
        <rFont val="Calibri"/>
        <family val="2"/>
        <scheme val="minor"/>
      </rPr>
      <t>Det</t>
    </r>
    <r>
      <rPr>
        <b/>
        <sz val="11"/>
        <color theme="1"/>
        <rFont val="Calibri"/>
        <family val="2"/>
        <scheme val="minor"/>
      </rPr>
      <t xml:space="preserve"> ($)</t>
    </r>
  </si>
  <si>
    <r>
      <t xml:space="preserve">Marg. Cont. </t>
    </r>
    <r>
      <rPr>
        <b/>
        <sz val="11"/>
        <color rgb="FFC00000"/>
        <rFont val="Calibri"/>
        <family val="2"/>
        <scheme val="minor"/>
      </rPr>
      <t>UB</t>
    </r>
    <r>
      <rPr>
        <b/>
        <sz val="11"/>
        <color theme="1"/>
        <rFont val="Calibri"/>
        <family val="2"/>
        <scheme val="minor"/>
      </rPr>
      <t xml:space="preserve"> ($)</t>
    </r>
  </si>
  <si>
    <r>
      <t xml:space="preserve">Precio Unit. </t>
    </r>
    <r>
      <rPr>
        <b/>
        <sz val="11"/>
        <color rgb="FFC00000"/>
        <rFont val="Calibri"/>
        <family val="2"/>
        <scheme val="minor"/>
      </rPr>
      <t>Det</t>
    </r>
    <r>
      <rPr>
        <b/>
        <sz val="11"/>
        <color theme="1"/>
        <rFont val="Calibri"/>
        <family val="2"/>
        <scheme val="minor"/>
      </rPr>
      <t xml:space="preserve"> ($)</t>
    </r>
  </si>
  <si>
    <t>Promedio</t>
  </si>
  <si>
    <t>Prom. Pond.</t>
  </si>
  <si>
    <r>
      <t xml:space="preserve">Marg. Cont. </t>
    </r>
    <r>
      <rPr>
        <b/>
        <sz val="11"/>
        <color rgb="FFC00000"/>
        <rFont val="Calibri"/>
        <family val="2"/>
        <scheme val="minor"/>
      </rPr>
      <t>Paciente</t>
    </r>
    <r>
      <rPr>
        <b/>
        <sz val="11"/>
        <color theme="1"/>
        <rFont val="Calibri"/>
        <family val="2"/>
        <scheme val="minor"/>
      </rPr>
      <t xml:space="preserve"> ($)</t>
    </r>
  </si>
  <si>
    <t>Cálculo del punto de nivelación</t>
  </si>
  <si>
    <t>Costos fijos</t>
  </si>
  <si>
    <t>$/mes</t>
  </si>
  <si>
    <t>Cant. Nivelación (en pacientes)</t>
  </si>
  <si>
    <t>=</t>
  </si>
  <si>
    <r>
      <t xml:space="preserve">marg. contrib. </t>
    </r>
    <r>
      <rPr>
        <sz val="11"/>
        <color rgb="FFC00000"/>
        <rFont val="Calibri"/>
        <family val="2"/>
        <scheme val="minor"/>
      </rPr>
      <t>Paciente</t>
    </r>
  </si>
  <si>
    <t>pacientes</t>
  </si>
  <si>
    <t>Cant. Nivelación (en UB)</t>
  </si>
  <si>
    <r>
      <t xml:space="preserve">marg. contrib. </t>
    </r>
    <r>
      <rPr>
        <sz val="11"/>
        <color rgb="FFC00000"/>
        <rFont val="Calibri"/>
        <family val="2"/>
        <scheme val="minor"/>
      </rPr>
      <t>UB</t>
    </r>
  </si>
  <si>
    <t>Razón de Contrib. ($)</t>
  </si>
  <si>
    <t>Raz. Cont. ($)</t>
  </si>
  <si>
    <t>Venta. Nivelación (en $)</t>
  </si>
  <si>
    <t>Razón de contribución</t>
  </si>
  <si>
    <t>$</t>
  </si>
  <si>
    <t>Total  pacientes</t>
  </si>
  <si>
    <t>Análisis Marginal Laboratorio Mes …..</t>
  </si>
  <si>
    <t>Estado de Resultados</t>
  </si>
  <si>
    <t>Ventas</t>
  </si>
  <si>
    <t>Costo Variable Total</t>
  </si>
  <si>
    <t>Margen de Contribución Total</t>
  </si>
  <si>
    <t>Costos Fijos</t>
  </si>
  <si>
    <t>Resultado Operativo</t>
  </si>
  <si>
    <t>Sensibilidad del resultado ante cambios en el valor de la UB</t>
  </si>
  <si>
    <t>Obra Social 1</t>
  </si>
  <si>
    <t>Obra Social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</si>
</sst>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$-2C0A]\ #,##0"/>
    <numFmt numFmtId="165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85">
    <xf numFmtId="0" fontId="0" fillId="0" borderId="0" xfId="0"/>
    <xf numFmtId="0" fontId="1" fillId="2" borderId="2" xfId="0" applyFont="1" applyFill="1" applyBorder="1"/>
    <xf numFmtId="0" fontId="0" fillId="2" borderId="3" xfId="0" applyFill="1" applyBorder="1"/>
    <xf numFmtId="0" fontId="0" fillId="0" borderId="3" xfId="0" applyBorder="1"/>
    <xf numFmtId="164" fontId="0" fillId="0" borderId="3" xfId="0" applyNumberFormat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0" xfId="0" applyFont="1"/>
    <xf numFmtId="164" fontId="1" fillId="0" borderId="3" xfId="0" applyNumberFormat="1" applyFont="1" applyBorder="1"/>
    <xf numFmtId="3" fontId="0" fillId="0" borderId="3" xfId="0" applyNumberFormat="1" applyBorder="1"/>
    <xf numFmtId="3" fontId="0" fillId="0" borderId="0" xfId="0" applyNumberFormat="1"/>
    <xf numFmtId="3" fontId="1" fillId="0" borderId="3" xfId="0" applyNumberFormat="1" applyFont="1" applyBorder="1"/>
    <xf numFmtId="3" fontId="1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164" fontId="1" fillId="4" borderId="3" xfId="0" applyNumberFormat="1" applyFont="1" applyFill="1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13" xfId="0" applyBorder="1"/>
    <xf numFmtId="0" fontId="0" fillId="0" borderId="1" xfId="0" applyBorder="1"/>
    <xf numFmtId="0" fontId="0" fillId="0" borderId="14" xfId="0" applyBorder="1"/>
    <xf numFmtId="0" fontId="5" fillId="0" borderId="0" xfId="0" applyFont="1"/>
    <xf numFmtId="164" fontId="0" fillId="0" borderId="4" xfId="0" applyNumberFormat="1" applyBorder="1" applyAlignment="1">
      <alignment horizontal="center"/>
    </xf>
    <xf numFmtId="0" fontId="0" fillId="0" borderId="16" xfId="0" applyBorder="1"/>
    <xf numFmtId="0" fontId="0" fillId="0" borderId="15" xfId="0" applyBorder="1"/>
    <xf numFmtId="3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4" xfId="0" applyBorder="1"/>
    <xf numFmtId="0" fontId="0" fillId="0" borderId="18" xfId="0" applyBorder="1"/>
    <xf numFmtId="4" fontId="0" fillId="0" borderId="0" xfId="0" applyNumberFormat="1"/>
    <xf numFmtId="4" fontId="0" fillId="0" borderId="3" xfId="0" applyNumberFormat="1" applyBorder="1"/>
    <xf numFmtId="4" fontId="0" fillId="4" borderId="3" xfId="0" applyNumberFormat="1" applyFill="1" applyBorder="1"/>
    <xf numFmtId="4" fontId="0" fillId="0" borderId="0" xfId="0" applyNumberFormat="1" applyAlignment="1">
      <alignment horizontal="center"/>
    </xf>
    <xf numFmtId="0" fontId="7" fillId="0" borderId="0" xfId="0" applyFont="1"/>
    <xf numFmtId="165" fontId="1" fillId="0" borderId="0" xfId="1" applyNumberFormat="1" applyFont="1"/>
    <xf numFmtId="0" fontId="1" fillId="7" borderId="6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164" fontId="0" fillId="0" borderId="9" xfId="0" applyNumberFormat="1" applyBorder="1"/>
    <xf numFmtId="164" fontId="0" fillId="0" borderId="10" xfId="0" applyNumberFormat="1" applyBorder="1"/>
    <xf numFmtId="164" fontId="0" fillId="0" borderId="4" xfId="0" applyNumberFormat="1" applyBorder="1"/>
    <xf numFmtId="164" fontId="0" fillId="0" borderId="14" xfId="0" applyNumberFormat="1" applyBorder="1"/>
    <xf numFmtId="0" fontId="1" fillId="0" borderId="18" xfId="0" applyFont="1" applyBorder="1"/>
    <xf numFmtId="0" fontId="1" fillId="0" borderId="4" xfId="0" applyFont="1" applyBorder="1"/>
    <xf numFmtId="164" fontId="1" fillId="0" borderId="14" xfId="0" applyNumberFormat="1" applyFont="1" applyBorder="1"/>
    <xf numFmtId="0" fontId="1" fillId="7" borderId="3" xfId="0" applyFont="1" applyFill="1" applyBorder="1" applyAlignment="1">
      <alignment horizontal="center"/>
    </xf>
    <xf numFmtId="2" fontId="0" fillId="0" borderId="3" xfId="0" applyNumberForma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64" fontId="8" fillId="0" borderId="3" xfId="0" applyNumberFormat="1" applyFont="1" applyBorder="1"/>
    <xf numFmtId="0" fontId="1" fillId="8" borderId="3" xfId="0" applyFont="1" applyFill="1" applyBorder="1"/>
    <xf numFmtId="3" fontId="0" fillId="8" borderId="3" xfId="0" applyNumberForma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963A9-CF25-433B-85EF-047CE726358C}">
  <dimension ref="C2:W51"/>
  <sheetViews>
    <sheetView tabSelected="1" topLeftCell="C1" zoomScale="120" zoomScaleNormal="120" workbookViewId="0">
      <selection activeCell="D3" sqref="D3:E3"/>
    </sheetView>
  </sheetViews>
  <sheetFormatPr baseColWidth="10" defaultRowHeight="14.4" outlineLevelCol="1" x14ac:dyDescent="0.3"/>
  <cols>
    <col min="1" max="1" width="3.109375" customWidth="1"/>
    <col min="2" max="2" width="2.21875" customWidth="1"/>
    <col min="3" max="3" width="17" customWidth="1"/>
    <col min="4" max="4" width="11.6640625" customWidth="1"/>
    <col min="5" max="5" width="9" customWidth="1"/>
    <col min="6" max="6" width="10.77734375" customWidth="1" outlineLevel="1"/>
    <col min="7" max="7" width="10.88671875" customWidth="1" outlineLevel="1"/>
    <col min="8" max="8" width="12" customWidth="1"/>
    <col min="9" max="10" width="8.77734375" customWidth="1" outlineLevel="1"/>
    <col min="11" max="11" width="10.77734375" customWidth="1"/>
    <col min="12" max="13" width="13.44140625" customWidth="1" outlineLevel="1"/>
    <col min="14" max="14" width="13.44140625" customWidth="1"/>
    <col min="15" max="16" width="11.5546875" customWidth="1" outlineLevel="1"/>
    <col min="17" max="17" width="13.109375" customWidth="1"/>
    <col min="18" max="19" width="11.5546875" outlineLevel="1"/>
  </cols>
  <sheetData>
    <row r="2" spans="3:23" ht="18" x14ac:dyDescent="0.35">
      <c r="D2" s="5" t="s">
        <v>12</v>
      </c>
      <c r="E2" s="5" t="s">
        <v>13</v>
      </c>
      <c r="H2" s="50" t="s">
        <v>42</v>
      </c>
    </row>
    <row r="3" spans="3:23" x14ac:dyDescent="0.3">
      <c r="C3" s="3" t="s">
        <v>8</v>
      </c>
      <c r="D3" s="4">
        <v>600</v>
      </c>
      <c r="E3" s="4">
        <v>1000</v>
      </c>
    </row>
    <row r="4" spans="3:23" x14ac:dyDescent="0.3">
      <c r="C4" s="3" t="s">
        <v>9</v>
      </c>
      <c r="D4" s="3">
        <v>300</v>
      </c>
      <c r="E4" s="3">
        <v>180</v>
      </c>
    </row>
    <row r="5" spans="3:23" ht="15" thickBot="1" x14ac:dyDescent="0.35">
      <c r="C5" s="3" t="s">
        <v>41</v>
      </c>
      <c r="D5" s="60">
        <f>+D4+E4</f>
        <v>480</v>
      </c>
      <c r="E5" s="61"/>
    </row>
    <row r="6" spans="3:23" ht="15" thickBot="1" x14ac:dyDescent="0.35">
      <c r="F6" s="62" t="s">
        <v>10</v>
      </c>
      <c r="G6" s="63"/>
      <c r="H6" s="64"/>
      <c r="I6" s="65" t="s">
        <v>11</v>
      </c>
      <c r="J6" s="66"/>
      <c r="K6" s="67"/>
      <c r="L6" s="68" t="s">
        <v>18</v>
      </c>
      <c r="M6" s="69"/>
      <c r="N6" s="70"/>
      <c r="O6" s="52" t="s">
        <v>19</v>
      </c>
      <c r="P6" s="53"/>
      <c r="Q6" s="54"/>
      <c r="R6" s="52" t="s">
        <v>36</v>
      </c>
      <c r="S6" s="53"/>
      <c r="T6" s="54"/>
    </row>
    <row r="7" spans="3:23" x14ac:dyDescent="0.3">
      <c r="F7" s="12" t="s">
        <v>12</v>
      </c>
      <c r="G7" s="12" t="s">
        <v>13</v>
      </c>
      <c r="H7" s="12" t="s">
        <v>0</v>
      </c>
      <c r="I7" s="14" t="s">
        <v>12</v>
      </c>
      <c r="J7" s="14" t="s">
        <v>13</v>
      </c>
      <c r="K7" s="14" t="s">
        <v>0</v>
      </c>
      <c r="L7" s="16" t="s">
        <v>12</v>
      </c>
      <c r="M7" s="16" t="s">
        <v>13</v>
      </c>
      <c r="N7" s="16" t="s">
        <v>0</v>
      </c>
      <c r="O7" s="18" t="s">
        <v>12</v>
      </c>
      <c r="P7" s="18" t="s">
        <v>13</v>
      </c>
      <c r="Q7" s="18" t="s">
        <v>0</v>
      </c>
      <c r="R7" s="18" t="s">
        <v>12</v>
      </c>
      <c r="S7" s="18" t="s">
        <v>13</v>
      </c>
      <c r="T7" s="18" t="s">
        <v>0</v>
      </c>
    </row>
    <row r="8" spans="3:23" ht="29.4" customHeight="1" x14ac:dyDescent="0.3">
      <c r="D8" s="10" t="s">
        <v>17</v>
      </c>
      <c r="E8" s="11" t="s">
        <v>7</v>
      </c>
      <c r="F8" s="13" t="s">
        <v>10</v>
      </c>
      <c r="G8" s="13" t="s">
        <v>10</v>
      </c>
      <c r="H8" s="13" t="s">
        <v>20</v>
      </c>
      <c r="I8" s="15" t="s">
        <v>14</v>
      </c>
      <c r="J8" s="15" t="s">
        <v>14</v>
      </c>
      <c r="K8" s="15" t="s">
        <v>14</v>
      </c>
      <c r="L8" s="17" t="s">
        <v>15</v>
      </c>
      <c r="M8" s="17" t="s">
        <v>15</v>
      </c>
      <c r="N8" s="17" t="s">
        <v>15</v>
      </c>
      <c r="O8" s="19" t="s">
        <v>16</v>
      </c>
      <c r="P8" s="19" t="s">
        <v>16</v>
      </c>
      <c r="Q8" s="19" t="s">
        <v>16</v>
      </c>
      <c r="R8" s="19" t="s">
        <v>37</v>
      </c>
      <c r="S8" s="19" t="s">
        <v>37</v>
      </c>
      <c r="T8" s="19" t="s">
        <v>37</v>
      </c>
    </row>
    <row r="9" spans="3:23" x14ac:dyDescent="0.3">
      <c r="C9" s="2" t="s">
        <v>5</v>
      </c>
      <c r="D9" s="3">
        <v>418.12</v>
      </c>
      <c r="E9" s="3">
        <v>3</v>
      </c>
      <c r="F9" s="3">
        <f>+D4</f>
        <v>300</v>
      </c>
      <c r="G9" s="3">
        <v>180</v>
      </c>
      <c r="H9" s="20">
        <f t="shared" ref="H9:H14" si="0">SUM(F9:G9)</f>
        <v>480</v>
      </c>
      <c r="I9" s="3">
        <f>+F9*$E9</f>
        <v>900</v>
      </c>
      <c r="J9" s="3">
        <f>+G9*$E9</f>
        <v>540</v>
      </c>
      <c r="K9" s="25">
        <f t="shared" ref="K9:K14" si="1">SUM(I9:J9)</f>
        <v>1440</v>
      </c>
      <c r="L9" s="4">
        <f t="shared" ref="L9:M14" si="2">+I9*D$3</f>
        <v>540000</v>
      </c>
      <c r="M9" s="4">
        <f t="shared" si="2"/>
        <v>540000</v>
      </c>
      <c r="N9" s="22">
        <f t="shared" ref="N9:N14" si="3">SUM(L9:M9)</f>
        <v>1080000</v>
      </c>
      <c r="O9" s="4">
        <f>+L9-F9*$D9</f>
        <v>414564</v>
      </c>
      <c r="P9" s="4">
        <f>+M9-G9*$D9</f>
        <v>464738.4</v>
      </c>
      <c r="Q9" s="22">
        <f>SUM(O9:P9)</f>
        <v>879302.4</v>
      </c>
      <c r="R9" s="47">
        <f>+O9/L9</f>
        <v>0.76771111111111112</v>
      </c>
      <c r="S9" s="47">
        <f t="shared" ref="S9:T14" si="4">+P9/M9</f>
        <v>0.86062666666666676</v>
      </c>
      <c r="T9" s="47">
        <f t="shared" si="4"/>
        <v>0.81416888888888894</v>
      </c>
      <c r="W9">
        <f>+G9*3</f>
        <v>540</v>
      </c>
    </row>
    <row r="10" spans="3:23" x14ac:dyDescent="0.3">
      <c r="C10" s="2" t="s">
        <v>1</v>
      </c>
      <c r="D10" s="3">
        <v>39.39</v>
      </c>
      <c r="E10" s="3">
        <v>1.5</v>
      </c>
      <c r="F10" s="3">
        <v>300</v>
      </c>
      <c r="G10" s="3">
        <v>180</v>
      </c>
      <c r="H10" s="20">
        <f t="shared" si="0"/>
        <v>480</v>
      </c>
      <c r="I10" s="3">
        <f t="shared" ref="I10:J14" si="5">+F10*$E10</f>
        <v>450</v>
      </c>
      <c r="J10" s="3">
        <f t="shared" si="5"/>
        <v>270</v>
      </c>
      <c r="K10" s="25">
        <f t="shared" si="1"/>
        <v>720</v>
      </c>
      <c r="L10" s="4">
        <f t="shared" si="2"/>
        <v>270000</v>
      </c>
      <c r="M10" s="4">
        <f t="shared" si="2"/>
        <v>270000</v>
      </c>
      <c r="N10" s="22">
        <f t="shared" si="3"/>
        <v>540000</v>
      </c>
      <c r="O10" s="4">
        <f>+L10-F10*$D10</f>
        <v>258183</v>
      </c>
      <c r="P10" s="4">
        <f t="shared" ref="P10:P14" si="6">+M10-G10*$D10</f>
        <v>262909.8</v>
      </c>
      <c r="Q10" s="22">
        <f t="shared" ref="Q10:Q14" si="7">SUM(O10:P10)</f>
        <v>521092.8</v>
      </c>
      <c r="R10" s="47">
        <f t="shared" ref="R10:R14" si="8">+O10/L10</f>
        <v>0.95623333333333338</v>
      </c>
      <c r="S10" s="47">
        <f t="shared" si="4"/>
        <v>0.97373999999999994</v>
      </c>
      <c r="T10" s="47">
        <f t="shared" si="4"/>
        <v>0.96498666666666666</v>
      </c>
      <c r="W10">
        <f t="shared" ref="W10:W14" si="9">+G10*3</f>
        <v>540</v>
      </c>
    </row>
    <row r="11" spans="3:23" x14ac:dyDescent="0.3">
      <c r="C11" s="2" t="s">
        <v>2</v>
      </c>
      <c r="D11" s="3">
        <v>61.25</v>
      </c>
      <c r="E11" s="3">
        <v>1.5</v>
      </c>
      <c r="F11" s="3">
        <v>270</v>
      </c>
      <c r="G11" s="3">
        <v>165</v>
      </c>
      <c r="H11" s="20">
        <f t="shared" si="0"/>
        <v>435</v>
      </c>
      <c r="I11" s="3">
        <f t="shared" si="5"/>
        <v>405</v>
      </c>
      <c r="J11" s="3">
        <f t="shared" si="5"/>
        <v>247.5</v>
      </c>
      <c r="K11" s="25">
        <f t="shared" si="1"/>
        <v>652.5</v>
      </c>
      <c r="L11" s="4">
        <f t="shared" si="2"/>
        <v>243000</v>
      </c>
      <c r="M11" s="4">
        <f t="shared" si="2"/>
        <v>247500</v>
      </c>
      <c r="N11" s="22">
        <f t="shared" si="3"/>
        <v>490500</v>
      </c>
      <c r="O11" s="4">
        <f t="shared" ref="O11:O14" si="10">+L11-F11*$D11</f>
        <v>226462.5</v>
      </c>
      <c r="P11" s="4">
        <f t="shared" si="6"/>
        <v>237393.75</v>
      </c>
      <c r="Q11" s="22">
        <f t="shared" si="7"/>
        <v>463856.25</v>
      </c>
      <c r="R11" s="47">
        <f t="shared" si="8"/>
        <v>0.93194444444444446</v>
      </c>
      <c r="S11" s="47">
        <f t="shared" si="4"/>
        <v>0.95916666666666661</v>
      </c>
      <c r="T11" s="47">
        <f t="shared" si="4"/>
        <v>0.94568042813455655</v>
      </c>
      <c r="W11">
        <f t="shared" si="9"/>
        <v>495</v>
      </c>
    </row>
    <row r="12" spans="3:23" x14ac:dyDescent="0.3">
      <c r="C12" s="2" t="s">
        <v>3</v>
      </c>
      <c r="D12" s="3">
        <v>38.01</v>
      </c>
      <c r="E12" s="3">
        <v>1.5</v>
      </c>
      <c r="F12" s="3">
        <v>180</v>
      </c>
      <c r="G12" s="3">
        <v>120</v>
      </c>
      <c r="H12" s="20">
        <f t="shared" si="0"/>
        <v>300</v>
      </c>
      <c r="I12" s="3">
        <f t="shared" si="5"/>
        <v>270</v>
      </c>
      <c r="J12" s="3">
        <f>+G12*$E12</f>
        <v>180</v>
      </c>
      <c r="K12" s="25">
        <f t="shared" si="1"/>
        <v>450</v>
      </c>
      <c r="L12" s="4">
        <f t="shared" si="2"/>
        <v>162000</v>
      </c>
      <c r="M12" s="4">
        <f t="shared" si="2"/>
        <v>180000</v>
      </c>
      <c r="N12" s="22">
        <f t="shared" si="3"/>
        <v>342000</v>
      </c>
      <c r="O12" s="4">
        <f t="shared" si="10"/>
        <v>155158.20000000001</v>
      </c>
      <c r="P12" s="4">
        <f t="shared" si="6"/>
        <v>175438.8</v>
      </c>
      <c r="Q12" s="22">
        <f t="shared" si="7"/>
        <v>330597</v>
      </c>
      <c r="R12" s="47">
        <f t="shared" si="8"/>
        <v>0.95776666666666677</v>
      </c>
      <c r="S12" s="47">
        <f t="shared" si="4"/>
        <v>0.97465999999999997</v>
      </c>
      <c r="T12" s="47">
        <f t="shared" si="4"/>
        <v>0.96665789473684216</v>
      </c>
      <c r="W12">
        <f t="shared" si="9"/>
        <v>360</v>
      </c>
    </row>
    <row r="13" spans="3:23" x14ac:dyDescent="0.3">
      <c r="C13" s="2" t="s">
        <v>4</v>
      </c>
      <c r="D13" s="79">
        <v>69</v>
      </c>
      <c r="E13" s="3">
        <v>1.5</v>
      </c>
      <c r="F13" s="3">
        <f>75*3</f>
        <v>225</v>
      </c>
      <c r="G13" s="3">
        <v>135</v>
      </c>
      <c r="H13" s="20">
        <f t="shared" si="0"/>
        <v>360</v>
      </c>
      <c r="I13" s="3">
        <f t="shared" si="5"/>
        <v>337.5</v>
      </c>
      <c r="J13" s="3">
        <f t="shared" si="5"/>
        <v>202.5</v>
      </c>
      <c r="K13" s="25">
        <f t="shared" si="1"/>
        <v>540</v>
      </c>
      <c r="L13" s="4">
        <f t="shared" si="2"/>
        <v>202500</v>
      </c>
      <c r="M13" s="4">
        <f t="shared" si="2"/>
        <v>202500</v>
      </c>
      <c r="N13" s="22">
        <f t="shared" si="3"/>
        <v>405000</v>
      </c>
      <c r="O13" s="4">
        <f t="shared" si="10"/>
        <v>186975</v>
      </c>
      <c r="P13" s="4">
        <f>+M13-G13*$D13</f>
        <v>193185</v>
      </c>
      <c r="Q13" s="22">
        <f t="shared" si="7"/>
        <v>380160</v>
      </c>
      <c r="R13" s="47">
        <f t="shared" si="8"/>
        <v>0.92333333333333334</v>
      </c>
      <c r="S13" s="47">
        <f t="shared" si="4"/>
        <v>0.95399999999999996</v>
      </c>
      <c r="T13" s="47">
        <f t="shared" si="4"/>
        <v>0.93866666666666665</v>
      </c>
      <c r="W13">
        <f t="shared" si="9"/>
        <v>405</v>
      </c>
    </row>
    <row r="14" spans="3:23" x14ac:dyDescent="0.3">
      <c r="C14" s="2" t="s">
        <v>6</v>
      </c>
      <c r="D14" s="3">
        <v>254.03</v>
      </c>
      <c r="E14" s="3">
        <v>3</v>
      </c>
      <c r="F14" s="3">
        <v>60</v>
      </c>
      <c r="G14" s="3">
        <v>30</v>
      </c>
      <c r="H14" s="20">
        <f t="shared" si="0"/>
        <v>90</v>
      </c>
      <c r="I14" s="3">
        <f t="shared" si="5"/>
        <v>180</v>
      </c>
      <c r="J14" s="3">
        <f t="shared" si="5"/>
        <v>90</v>
      </c>
      <c r="K14" s="25">
        <f t="shared" si="1"/>
        <v>270</v>
      </c>
      <c r="L14" s="4">
        <f t="shared" si="2"/>
        <v>108000</v>
      </c>
      <c r="M14" s="4">
        <f t="shared" si="2"/>
        <v>90000</v>
      </c>
      <c r="N14" s="22">
        <f t="shared" si="3"/>
        <v>198000</v>
      </c>
      <c r="O14" s="4">
        <f t="shared" si="10"/>
        <v>92758.2</v>
      </c>
      <c r="P14" s="4">
        <f t="shared" si="6"/>
        <v>82379.100000000006</v>
      </c>
      <c r="Q14" s="22">
        <f t="shared" si="7"/>
        <v>175137.3</v>
      </c>
      <c r="R14" s="47">
        <f t="shared" si="8"/>
        <v>0.85887222222222215</v>
      </c>
      <c r="S14" s="47">
        <f t="shared" si="4"/>
        <v>0.91532333333333338</v>
      </c>
      <c r="T14" s="47">
        <f t="shared" si="4"/>
        <v>0.88453181818181814</v>
      </c>
      <c r="W14">
        <f t="shared" si="9"/>
        <v>90</v>
      </c>
    </row>
    <row r="15" spans="3:23" ht="7.2" customHeight="1" x14ac:dyDescent="0.3">
      <c r="J15" s="24"/>
      <c r="K15" s="26"/>
      <c r="N15" s="21"/>
      <c r="Q15" s="21"/>
      <c r="R15" s="46"/>
      <c r="S15" s="46"/>
      <c r="T15" s="46"/>
    </row>
    <row r="16" spans="3:23" x14ac:dyDescent="0.3">
      <c r="C16" s="1" t="s">
        <v>0</v>
      </c>
      <c r="D16" s="7"/>
      <c r="E16" s="8"/>
      <c r="F16" s="9"/>
      <c r="G16" s="7"/>
      <c r="H16" s="8"/>
      <c r="I16" s="3">
        <f>SUM(I9:I14)</f>
        <v>2542.5</v>
      </c>
      <c r="J16" s="23">
        <f t="shared" ref="J16:Q16" si="11">SUM(J9:J14)</f>
        <v>1530</v>
      </c>
      <c r="K16" s="25">
        <f t="shared" si="11"/>
        <v>4072.5</v>
      </c>
      <c r="L16" s="4">
        <f t="shared" si="11"/>
        <v>1525500</v>
      </c>
      <c r="M16" s="4">
        <f t="shared" si="11"/>
        <v>1530000</v>
      </c>
      <c r="N16" s="22">
        <f t="shared" si="11"/>
        <v>3055500</v>
      </c>
      <c r="O16" s="4">
        <f t="shared" si="11"/>
        <v>1334100.8999999999</v>
      </c>
      <c r="P16" s="4">
        <f t="shared" si="11"/>
        <v>1416044.85</v>
      </c>
      <c r="Q16" s="22">
        <f t="shared" si="11"/>
        <v>2750145.75</v>
      </c>
      <c r="R16" s="47">
        <f>+O16/L16</f>
        <v>0.87453352999016709</v>
      </c>
      <c r="S16" s="47">
        <f t="shared" ref="S16:T16" si="12">+P16/M16</f>
        <v>0.92551950980392161</v>
      </c>
      <c r="T16" s="48">
        <f t="shared" si="12"/>
        <v>0.90006406480117818</v>
      </c>
    </row>
    <row r="17" spans="3:17" ht="8.4" customHeight="1" thickBot="1" x14ac:dyDescent="0.35"/>
    <row r="18" spans="3:17" ht="15" thickBot="1" x14ac:dyDescent="0.35">
      <c r="F18" s="52" t="s">
        <v>23</v>
      </c>
      <c r="G18" s="53"/>
      <c r="H18" s="54"/>
      <c r="I18" s="52" t="s">
        <v>21</v>
      </c>
      <c r="J18" s="53"/>
      <c r="K18" s="54"/>
      <c r="L18" s="52" t="s">
        <v>22</v>
      </c>
      <c r="M18" s="53"/>
      <c r="N18" s="54"/>
      <c r="O18" s="52" t="s">
        <v>26</v>
      </c>
      <c r="P18" s="53"/>
      <c r="Q18" s="54"/>
    </row>
    <row r="19" spans="3:17" x14ac:dyDescent="0.3">
      <c r="D19" s="27" t="s">
        <v>17</v>
      </c>
      <c r="E19" s="11" t="s">
        <v>7</v>
      </c>
      <c r="F19" s="18" t="s">
        <v>12</v>
      </c>
      <c r="G19" s="18" t="s">
        <v>13</v>
      </c>
      <c r="H19" s="18" t="s">
        <v>25</v>
      </c>
      <c r="I19" s="18" t="s">
        <v>12</v>
      </c>
      <c r="J19" s="18" t="s">
        <v>13</v>
      </c>
      <c r="K19" s="18" t="s">
        <v>25</v>
      </c>
      <c r="L19" s="18" t="s">
        <v>12</v>
      </c>
      <c r="M19" s="18" t="s">
        <v>13</v>
      </c>
      <c r="N19" s="18" t="s">
        <v>25</v>
      </c>
      <c r="O19" s="18" t="s">
        <v>12</v>
      </c>
      <c r="P19" s="18" t="s">
        <v>13</v>
      </c>
      <c r="Q19" s="18" t="s">
        <v>25</v>
      </c>
    </row>
    <row r="20" spans="3:17" x14ac:dyDescent="0.3">
      <c r="C20" s="2" t="s">
        <v>5</v>
      </c>
      <c r="D20" s="3">
        <f>+D9</f>
        <v>418.12</v>
      </c>
      <c r="E20" s="3">
        <f>+E9</f>
        <v>3</v>
      </c>
      <c r="F20" s="4">
        <f t="shared" ref="F20:G25" si="13">+$E20*D$3</f>
        <v>1800</v>
      </c>
      <c r="G20" s="4">
        <f t="shared" si="13"/>
        <v>3000</v>
      </c>
      <c r="H20" s="4">
        <f>+N9/H9</f>
        <v>2250</v>
      </c>
      <c r="I20" s="4">
        <f>+F20-$D20</f>
        <v>1381.88</v>
      </c>
      <c r="J20" s="4">
        <f>+G20-$D20</f>
        <v>2581.88</v>
      </c>
      <c r="K20" s="4">
        <f>+Q9/H9</f>
        <v>1831.88</v>
      </c>
      <c r="L20" s="4">
        <f>+O9/I9</f>
        <v>460.62666666666667</v>
      </c>
      <c r="M20" s="4">
        <f>+P9/J9</f>
        <v>860.62666666666667</v>
      </c>
      <c r="N20" s="4">
        <f>+Q9/K9</f>
        <v>610.62666666666667</v>
      </c>
      <c r="O20" s="29"/>
      <c r="P20" s="32"/>
      <c r="Q20" s="32"/>
    </row>
    <row r="21" spans="3:17" x14ac:dyDescent="0.3">
      <c r="C21" s="2" t="s">
        <v>1</v>
      </c>
      <c r="D21" s="3">
        <f t="shared" ref="D21:E25" si="14">+D10</f>
        <v>39.39</v>
      </c>
      <c r="E21" s="3">
        <f t="shared" si="14"/>
        <v>1.5</v>
      </c>
      <c r="F21" s="4">
        <f t="shared" si="13"/>
        <v>900</v>
      </c>
      <c r="G21" s="4">
        <f t="shared" si="13"/>
        <v>1500</v>
      </c>
      <c r="H21" s="4">
        <f t="shared" ref="H21:H25" si="15">+N10/H10</f>
        <v>1125</v>
      </c>
      <c r="I21" s="4">
        <f t="shared" ref="I21:J25" si="16">+F21-$D21</f>
        <v>860.61</v>
      </c>
      <c r="J21" s="4">
        <f t="shared" si="16"/>
        <v>1460.61</v>
      </c>
      <c r="K21" s="4">
        <f t="shared" ref="K21:K25" si="17">+Q10/H10</f>
        <v>1085.6099999999999</v>
      </c>
      <c r="L21" s="4">
        <f t="shared" ref="L21:N25" si="18">+O10/I10</f>
        <v>573.74</v>
      </c>
      <c r="M21" s="4">
        <f t="shared" si="18"/>
        <v>973.74</v>
      </c>
      <c r="N21" s="4">
        <f t="shared" si="18"/>
        <v>723.74</v>
      </c>
      <c r="O21" s="30"/>
      <c r="P21" s="33"/>
      <c r="Q21" s="33"/>
    </row>
    <row r="22" spans="3:17" x14ac:dyDescent="0.3">
      <c r="C22" s="2" t="s">
        <v>2</v>
      </c>
      <c r="D22" s="3">
        <f t="shared" si="14"/>
        <v>61.25</v>
      </c>
      <c r="E22" s="3">
        <f t="shared" si="14"/>
        <v>1.5</v>
      </c>
      <c r="F22" s="4">
        <f t="shared" si="13"/>
        <v>900</v>
      </c>
      <c r="G22" s="4">
        <f t="shared" si="13"/>
        <v>1500</v>
      </c>
      <c r="H22" s="4">
        <f t="shared" si="15"/>
        <v>1127.5862068965516</v>
      </c>
      <c r="I22" s="4">
        <f t="shared" si="16"/>
        <v>838.75</v>
      </c>
      <c r="J22" s="4">
        <f t="shared" si="16"/>
        <v>1438.75</v>
      </c>
      <c r="K22" s="4">
        <f t="shared" si="17"/>
        <v>1066.3362068965516</v>
      </c>
      <c r="L22" s="4">
        <f t="shared" si="18"/>
        <v>559.16666666666663</v>
      </c>
      <c r="M22" s="4">
        <f t="shared" si="18"/>
        <v>959.16666666666663</v>
      </c>
      <c r="N22" s="4">
        <f t="shared" si="18"/>
        <v>710.89080459770116</v>
      </c>
      <c r="O22" s="30"/>
      <c r="P22" s="33"/>
      <c r="Q22" s="33"/>
    </row>
    <row r="23" spans="3:17" x14ac:dyDescent="0.3">
      <c r="C23" s="2" t="s">
        <v>3</v>
      </c>
      <c r="D23" s="3">
        <f t="shared" si="14"/>
        <v>38.01</v>
      </c>
      <c r="E23" s="3">
        <f t="shared" si="14"/>
        <v>1.5</v>
      </c>
      <c r="F23" s="4">
        <f t="shared" si="13"/>
        <v>900</v>
      </c>
      <c r="G23" s="4">
        <f t="shared" si="13"/>
        <v>1500</v>
      </c>
      <c r="H23" s="4">
        <f t="shared" si="15"/>
        <v>1140</v>
      </c>
      <c r="I23" s="4">
        <f t="shared" si="16"/>
        <v>861.99</v>
      </c>
      <c r="J23" s="4">
        <f t="shared" si="16"/>
        <v>1461.99</v>
      </c>
      <c r="K23" s="4">
        <f t="shared" si="17"/>
        <v>1101.99</v>
      </c>
      <c r="L23" s="4">
        <f t="shared" si="18"/>
        <v>574.66000000000008</v>
      </c>
      <c r="M23" s="4">
        <f t="shared" si="18"/>
        <v>974.66</v>
      </c>
      <c r="N23" s="4">
        <f t="shared" si="18"/>
        <v>734.66</v>
      </c>
      <c r="O23" s="30"/>
      <c r="P23" s="33"/>
      <c r="Q23" s="33"/>
    </row>
    <row r="24" spans="3:17" x14ac:dyDescent="0.3">
      <c r="C24" s="2" t="s">
        <v>4</v>
      </c>
      <c r="D24" s="3">
        <f t="shared" si="14"/>
        <v>69</v>
      </c>
      <c r="E24" s="3">
        <f t="shared" si="14"/>
        <v>1.5</v>
      </c>
      <c r="F24" s="4">
        <f t="shared" si="13"/>
        <v>900</v>
      </c>
      <c r="G24" s="4">
        <f t="shared" si="13"/>
        <v>1500</v>
      </c>
      <c r="H24" s="4">
        <f t="shared" si="15"/>
        <v>1125</v>
      </c>
      <c r="I24" s="4">
        <f t="shared" si="16"/>
        <v>831</v>
      </c>
      <c r="J24" s="4">
        <f t="shared" si="16"/>
        <v>1431</v>
      </c>
      <c r="K24" s="4">
        <f t="shared" si="17"/>
        <v>1056</v>
      </c>
      <c r="L24" s="4">
        <f t="shared" si="18"/>
        <v>554</v>
      </c>
      <c r="M24" s="4">
        <f>+P13/J13</f>
        <v>954</v>
      </c>
      <c r="N24" s="4">
        <f t="shared" si="18"/>
        <v>704</v>
      </c>
      <c r="O24" s="30"/>
      <c r="P24" s="33"/>
      <c r="Q24" s="33"/>
    </row>
    <row r="25" spans="3:17" x14ac:dyDescent="0.3">
      <c r="C25" s="2" t="s">
        <v>6</v>
      </c>
      <c r="D25" s="3">
        <f t="shared" si="14"/>
        <v>254.03</v>
      </c>
      <c r="E25" s="3">
        <f t="shared" si="14"/>
        <v>3</v>
      </c>
      <c r="F25" s="4">
        <f t="shared" si="13"/>
        <v>1800</v>
      </c>
      <c r="G25" s="4">
        <f t="shared" si="13"/>
        <v>3000</v>
      </c>
      <c r="H25" s="4">
        <f t="shared" si="15"/>
        <v>2200</v>
      </c>
      <c r="I25" s="4">
        <f t="shared" si="16"/>
        <v>1545.97</v>
      </c>
      <c r="J25" s="4">
        <f t="shared" si="16"/>
        <v>2745.97</v>
      </c>
      <c r="K25" s="4">
        <f t="shared" si="17"/>
        <v>1945.9699999999998</v>
      </c>
      <c r="L25" s="4">
        <f t="shared" si="18"/>
        <v>515.32333333333327</v>
      </c>
      <c r="M25" s="4">
        <f t="shared" si="18"/>
        <v>915.32333333333338</v>
      </c>
      <c r="N25" s="4">
        <f t="shared" si="18"/>
        <v>648.65666666666664</v>
      </c>
      <c r="O25" s="31"/>
      <c r="P25" s="34"/>
      <c r="Q25" s="34"/>
    </row>
    <row r="26" spans="3:17" ht="8.4" customHeight="1" x14ac:dyDescent="0.3"/>
    <row r="27" spans="3:17" x14ac:dyDescent="0.3">
      <c r="C27" s="1" t="s">
        <v>24</v>
      </c>
      <c r="D27" s="7"/>
      <c r="E27" s="7"/>
      <c r="F27" s="7"/>
      <c r="G27" s="7"/>
      <c r="H27" s="7"/>
      <c r="I27" s="7"/>
      <c r="J27" s="7"/>
      <c r="K27" s="8"/>
      <c r="L27" s="4">
        <f>+O16/I16</f>
        <v>524.72011799410029</v>
      </c>
      <c r="M27" s="4">
        <f>+P16/J16</f>
        <v>925.51950980392166</v>
      </c>
      <c r="N27" s="28">
        <f>+Q16/K16</f>
        <v>675.29668508287295</v>
      </c>
      <c r="O27" s="4">
        <f>+O16/D4</f>
        <v>4447.0029999999997</v>
      </c>
      <c r="P27" s="4">
        <f>+P16/E4</f>
        <v>7866.9158333333335</v>
      </c>
      <c r="Q27" s="28">
        <f>+Q16/D5</f>
        <v>5729.4703124999996</v>
      </c>
    </row>
    <row r="28" spans="3:17" ht="41.4" customHeight="1" x14ac:dyDescent="0.3"/>
    <row r="29" spans="3:17" ht="20.399999999999999" customHeight="1" x14ac:dyDescent="0.4">
      <c r="C29" s="35" t="s">
        <v>43</v>
      </c>
      <c r="L29" s="35" t="s">
        <v>49</v>
      </c>
    </row>
    <row r="31" spans="3:17" x14ac:dyDescent="0.3">
      <c r="F31" s="78" t="s">
        <v>12</v>
      </c>
      <c r="G31" s="78" t="s">
        <v>13</v>
      </c>
      <c r="H31" s="78" t="s">
        <v>0</v>
      </c>
      <c r="N31" s="80" t="s">
        <v>50</v>
      </c>
      <c r="O31" s="80"/>
      <c r="P31" s="80"/>
    </row>
    <row r="32" spans="3:17" x14ac:dyDescent="0.3">
      <c r="C32" s="9" t="s">
        <v>44</v>
      </c>
      <c r="D32" s="7"/>
      <c r="E32" s="7"/>
      <c r="F32" s="71">
        <f>+L16</f>
        <v>1525500</v>
      </c>
      <c r="G32" s="71">
        <f t="shared" ref="G32:H32" si="19">+M16</f>
        <v>1530000</v>
      </c>
      <c r="H32" s="72">
        <f t="shared" si="19"/>
        <v>3055500</v>
      </c>
      <c r="M32" s="82">
        <f>+H36</f>
        <v>750145.75</v>
      </c>
      <c r="N32" s="20">
        <v>550</v>
      </c>
      <c r="O32" s="83">
        <v>600</v>
      </c>
      <c r="P32" s="20">
        <v>650</v>
      </c>
    </row>
    <row r="33" spans="3:17" x14ac:dyDescent="0.3">
      <c r="C33" s="45" t="s">
        <v>45</v>
      </c>
      <c r="D33" s="44"/>
      <c r="E33" s="44"/>
      <c r="F33" s="44">
        <f>-SUMPRODUCT(F9:F14,$D$9:$D$14)</f>
        <v>-191399.09999999998</v>
      </c>
      <c r="G33" s="44">
        <f t="shared" ref="G33:H33" si="20">-SUMPRODUCT(G9:G14,$D$9:$D$14)</f>
        <v>-113955.15</v>
      </c>
      <c r="H33" s="34">
        <f t="shared" si="20"/>
        <v>-305354.25000000006</v>
      </c>
      <c r="L33" s="81" t="s">
        <v>51</v>
      </c>
      <c r="M33" s="20">
        <v>900</v>
      </c>
      <c r="N33" s="23">
        <f t="dataTable" ref="N33:P36" dt2D="1" dtr="1" r1="D3" r2="E3"/>
        <v>470020.75</v>
      </c>
      <c r="O33" s="23">
        <v>597145.75</v>
      </c>
      <c r="P33" s="23">
        <v>724270.75</v>
      </c>
    </row>
    <row r="34" spans="3:17" x14ac:dyDescent="0.3">
      <c r="C34" s="45" t="s">
        <v>46</v>
      </c>
      <c r="D34" s="44"/>
      <c r="E34" s="44"/>
      <c r="F34" s="73">
        <f>+F32+F33</f>
        <v>1334100.8999999999</v>
      </c>
      <c r="G34" s="73">
        <f t="shared" ref="G34:H34" si="21">+G32+G33</f>
        <v>1416044.85</v>
      </c>
      <c r="H34" s="74">
        <f t="shared" si="21"/>
        <v>2750145.75</v>
      </c>
      <c r="L34" s="81"/>
      <c r="M34" s="83">
        <v>1000</v>
      </c>
      <c r="N34" s="23">
        <v>623020.75</v>
      </c>
      <c r="O34" s="84">
        <v>750145.75</v>
      </c>
      <c r="P34" s="23">
        <v>877270.75</v>
      </c>
    </row>
    <row r="35" spans="3:17" x14ac:dyDescent="0.3">
      <c r="C35" s="45" t="s">
        <v>47</v>
      </c>
      <c r="D35" s="44"/>
      <c r="E35" s="44"/>
      <c r="F35" s="44"/>
      <c r="G35" s="44"/>
      <c r="H35" s="74">
        <v>-2000000</v>
      </c>
      <c r="L35" s="81"/>
      <c r="M35" s="20">
        <v>1100</v>
      </c>
      <c r="N35" s="23">
        <v>776020.75</v>
      </c>
      <c r="O35" s="23">
        <v>903145.75</v>
      </c>
      <c r="P35" s="23">
        <v>1030270.75</v>
      </c>
    </row>
    <row r="36" spans="3:17" x14ac:dyDescent="0.3">
      <c r="C36" s="75" t="s">
        <v>48</v>
      </c>
      <c r="D36" s="76"/>
      <c r="E36" s="76"/>
      <c r="F36" s="76"/>
      <c r="G36" s="76"/>
      <c r="H36" s="77">
        <f>+H34+H35</f>
        <v>750145.75</v>
      </c>
      <c r="L36" s="81"/>
      <c r="M36" s="20">
        <v>1200</v>
      </c>
      <c r="N36" s="23">
        <v>929020.75</v>
      </c>
      <c r="O36" s="23">
        <v>1056145.75</v>
      </c>
      <c r="P36" s="23">
        <v>1183270.75</v>
      </c>
    </row>
    <row r="39" spans="3:17" ht="21" x14ac:dyDescent="0.4">
      <c r="C39" s="35" t="s">
        <v>27</v>
      </c>
    </row>
    <row r="40" spans="3:17" x14ac:dyDescent="0.3">
      <c r="G40" s="37"/>
      <c r="H40" s="38"/>
      <c r="I40" s="38"/>
      <c r="J40" s="38"/>
      <c r="K40" s="38"/>
      <c r="L40" s="38"/>
      <c r="M40" s="38"/>
      <c r="N40" s="38"/>
      <c r="O40" s="38"/>
      <c r="P40" s="38"/>
      <c r="Q40" s="32"/>
    </row>
    <row r="41" spans="3:17" x14ac:dyDescent="0.3">
      <c r="C41" s="21" t="s">
        <v>28</v>
      </c>
      <c r="D41" s="51">
        <v>2500000</v>
      </c>
      <c r="E41" s="21" t="s">
        <v>29</v>
      </c>
      <c r="G41" s="55" t="s">
        <v>30</v>
      </c>
      <c r="H41" s="56"/>
      <c r="I41" s="56"/>
      <c r="J41" s="57" t="s">
        <v>31</v>
      </c>
      <c r="K41" s="58" t="s">
        <v>28</v>
      </c>
      <c r="L41" s="58"/>
      <c r="M41" s="57" t="s">
        <v>31</v>
      </c>
      <c r="N41" s="36">
        <f>+D41</f>
        <v>2500000</v>
      </c>
      <c r="O41" s="57" t="s">
        <v>31</v>
      </c>
      <c r="P41" s="39">
        <f>+N41/N42</f>
        <v>436.34051031658959</v>
      </c>
      <c r="Q41" s="33" t="s">
        <v>33</v>
      </c>
    </row>
    <row r="42" spans="3:17" x14ac:dyDescent="0.3">
      <c r="G42" s="55"/>
      <c r="H42" s="56"/>
      <c r="I42" s="56"/>
      <c r="J42" s="57"/>
      <c r="K42" s="59" t="s">
        <v>32</v>
      </c>
      <c r="L42" s="59"/>
      <c r="M42" s="57"/>
      <c r="N42" s="40">
        <f>+Q27</f>
        <v>5729.4703124999996</v>
      </c>
      <c r="O42" s="57"/>
      <c r="Q42" s="33"/>
    </row>
    <row r="43" spans="3:17" x14ac:dyDescent="0.3">
      <c r="G43" s="41"/>
      <c r="H43" s="42"/>
      <c r="I43" s="42"/>
      <c r="J43" s="43"/>
      <c r="K43" s="6"/>
      <c r="L43" s="6"/>
      <c r="M43" s="43"/>
      <c r="N43" s="36"/>
      <c r="O43" s="43"/>
      <c r="P43" s="44"/>
      <c r="Q43" s="34"/>
    </row>
    <row r="44" spans="3:17" x14ac:dyDescent="0.3">
      <c r="G44" s="37"/>
      <c r="H44" s="38"/>
      <c r="I44" s="38"/>
      <c r="J44" s="38"/>
      <c r="K44" s="38"/>
      <c r="L44" s="38"/>
      <c r="M44" s="38"/>
      <c r="N44" s="38"/>
      <c r="O44" s="38"/>
      <c r="P44" s="38"/>
      <c r="Q44" s="32"/>
    </row>
    <row r="45" spans="3:17" x14ac:dyDescent="0.3">
      <c r="G45" s="55" t="s">
        <v>34</v>
      </c>
      <c r="H45" s="56"/>
      <c r="I45" s="56"/>
      <c r="J45" s="57" t="s">
        <v>31</v>
      </c>
      <c r="K45" s="58" t="s">
        <v>28</v>
      </c>
      <c r="L45" s="58"/>
      <c r="M45" s="57" t="s">
        <v>31</v>
      </c>
      <c r="N45" s="36">
        <f>+D41</f>
        <v>2500000</v>
      </c>
      <c r="O45" s="57" t="s">
        <v>31</v>
      </c>
      <c r="P45" s="39">
        <f>+N45/N46</f>
        <v>3702.0765172173146</v>
      </c>
      <c r="Q45" s="33" t="s">
        <v>7</v>
      </c>
    </row>
    <row r="46" spans="3:17" x14ac:dyDescent="0.3">
      <c r="G46" s="55"/>
      <c r="H46" s="56"/>
      <c r="I46" s="56"/>
      <c r="J46" s="57"/>
      <c r="K46" s="59" t="s">
        <v>35</v>
      </c>
      <c r="L46" s="59"/>
      <c r="M46" s="57"/>
      <c r="N46" s="40">
        <f>+N27</f>
        <v>675.29668508287295</v>
      </c>
      <c r="O46" s="57"/>
      <c r="Q46" s="33"/>
    </row>
    <row r="47" spans="3:17" x14ac:dyDescent="0.3">
      <c r="G47" s="45"/>
      <c r="H47" s="44"/>
      <c r="I47" s="44"/>
      <c r="J47" s="44"/>
      <c r="K47" s="44"/>
      <c r="L47" s="44"/>
      <c r="M47" s="44"/>
      <c r="N47" s="44"/>
      <c r="O47" s="44"/>
      <c r="P47" s="44"/>
      <c r="Q47" s="34"/>
    </row>
    <row r="48" spans="3:17" x14ac:dyDescent="0.3">
      <c r="G48" s="37"/>
      <c r="H48" s="38"/>
      <c r="I48" s="38"/>
      <c r="J48" s="38"/>
      <c r="K48" s="38"/>
      <c r="L48" s="38"/>
      <c r="M48" s="38"/>
      <c r="N48" s="38"/>
      <c r="O48" s="38"/>
      <c r="P48" s="38"/>
      <c r="Q48" s="32"/>
    </row>
    <row r="49" spans="7:17" x14ac:dyDescent="0.3">
      <c r="G49" s="55" t="s">
        <v>38</v>
      </c>
      <c r="H49" s="56"/>
      <c r="I49" s="56"/>
      <c r="J49" s="57" t="s">
        <v>31</v>
      </c>
      <c r="K49" s="58" t="s">
        <v>28</v>
      </c>
      <c r="L49" s="58"/>
      <c r="M49" s="57" t="s">
        <v>31</v>
      </c>
      <c r="N49" s="36">
        <f>+D41</f>
        <v>2500000</v>
      </c>
      <c r="O49" s="57" t="s">
        <v>31</v>
      </c>
      <c r="P49" s="39">
        <f>+N49/N50</f>
        <v>2777580.0609840406</v>
      </c>
      <c r="Q49" s="33" t="s">
        <v>40</v>
      </c>
    </row>
    <row r="50" spans="7:17" x14ac:dyDescent="0.3">
      <c r="G50" s="55"/>
      <c r="H50" s="56"/>
      <c r="I50" s="56"/>
      <c r="J50" s="57"/>
      <c r="K50" s="59" t="s">
        <v>39</v>
      </c>
      <c r="L50" s="59"/>
      <c r="M50" s="57"/>
      <c r="N50" s="49">
        <f>+T16</f>
        <v>0.90006406480117818</v>
      </c>
      <c r="O50" s="57"/>
      <c r="Q50" s="33"/>
    </row>
    <row r="51" spans="7:17" x14ac:dyDescent="0.3">
      <c r="G51" s="45"/>
      <c r="H51" s="44"/>
      <c r="I51" s="44"/>
      <c r="J51" s="44"/>
      <c r="K51" s="44"/>
      <c r="L51" s="44"/>
      <c r="M51" s="44"/>
      <c r="N51" s="44"/>
      <c r="O51" s="44"/>
      <c r="P51" s="44"/>
      <c r="Q51" s="34"/>
    </row>
  </sheetData>
  <mergeCells count="30">
    <mergeCell ref="N31:P31"/>
    <mergeCell ref="L33:L36"/>
    <mergeCell ref="G49:I50"/>
    <mergeCell ref="J49:J50"/>
    <mergeCell ref="K49:L49"/>
    <mergeCell ref="M49:M50"/>
    <mergeCell ref="O49:O50"/>
    <mergeCell ref="K50:L50"/>
    <mergeCell ref="G45:I46"/>
    <mergeCell ref="J45:J46"/>
    <mergeCell ref="K45:L45"/>
    <mergeCell ref="M45:M46"/>
    <mergeCell ref="O45:O46"/>
    <mergeCell ref="K46:L46"/>
    <mergeCell ref="F18:H18"/>
    <mergeCell ref="I18:K18"/>
    <mergeCell ref="L18:N18"/>
    <mergeCell ref="O18:Q18"/>
    <mergeCell ref="G41:I42"/>
    <mergeCell ref="J41:J42"/>
    <mergeCell ref="K41:L41"/>
    <mergeCell ref="M41:M42"/>
    <mergeCell ref="O41:O42"/>
    <mergeCell ref="K42:L42"/>
    <mergeCell ref="D5:E5"/>
    <mergeCell ref="F6:H6"/>
    <mergeCell ref="I6:K6"/>
    <mergeCell ref="L6:N6"/>
    <mergeCell ref="O6:Q6"/>
    <mergeCell ref="R6:T6"/>
  </mergeCells>
  <dataValidations count="1">
    <dataValidation type="list" allowBlank="1" showInputMessage="1" showErrorMessage="1" sqref="C9:C14 C20:C25" xr:uid="{E35F4457-EBE8-4164-845F-FDDF58D0729C}">
      <formula1>$B$7:$B$506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A. Marginal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Juan Pott</cp:lastModifiedBy>
  <dcterms:created xsi:type="dcterms:W3CDTF">2023-06-23T01:03:51Z</dcterms:created>
  <dcterms:modified xsi:type="dcterms:W3CDTF">2025-05-13T18:07:20Z</dcterms:modified>
</cp:coreProperties>
</file>